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1'!$A$1:$I$72</definedName>
  </definedNames>
  <calcPr calcId="125725" calcOnSave="0"/>
</workbook>
</file>

<file path=xl/calcChain.xml><?xml version="1.0" encoding="utf-8"?>
<calcChain xmlns="http://schemas.openxmlformats.org/spreadsheetml/2006/main">
  <c r="E73" i="1"/>
  <c r="E69"/>
  <c r="F32"/>
  <c r="F37"/>
  <c r="F42"/>
  <c r="F48"/>
  <c r="F58"/>
  <c r="F59"/>
  <c r="F61"/>
  <c r="F68"/>
  <c r="F31"/>
  <c r="F30"/>
  <c r="F29"/>
  <c r="F28"/>
  <c r="F36"/>
  <c r="F41"/>
  <c r="F46"/>
  <c r="F47"/>
  <c r="F56"/>
  <c r="F54"/>
  <c r="F53"/>
  <c r="F52"/>
  <c r="F65"/>
  <c r="F66"/>
  <c r="F67"/>
  <c r="G36"/>
  <c r="C42"/>
  <c r="C48"/>
  <c r="C61"/>
  <c r="C68"/>
  <c r="C37"/>
  <c r="C32"/>
  <c r="E56"/>
  <c r="E41"/>
  <c r="E31"/>
  <c r="E30"/>
  <c r="E29"/>
  <c r="E28"/>
  <c r="E52"/>
  <c r="E66"/>
  <c r="E46"/>
  <c r="E47"/>
  <c r="E53"/>
  <c r="G53" l="1"/>
  <c r="G47" l="1"/>
  <c r="D15" l="1"/>
  <c r="D20" s="1"/>
  <c r="G30" l="1"/>
  <c r="G29" l="1"/>
  <c r="G54" l="1"/>
  <c r="E70" l="1"/>
  <c r="G42"/>
  <c r="E42"/>
  <c r="C9"/>
  <c r="E54" l="1"/>
  <c r="G61"/>
  <c r="H61" s="1"/>
  <c r="H66"/>
  <c r="H67"/>
  <c r="H59"/>
  <c r="H56"/>
  <c r="H58"/>
  <c r="H47"/>
  <c r="H54"/>
  <c r="H29"/>
  <c r="H31"/>
  <c r="H42"/>
  <c r="H30"/>
  <c r="H41"/>
  <c r="H53"/>
  <c r="E61" l="1"/>
  <c r="H52"/>
  <c r="E32"/>
  <c r="E68"/>
  <c r="E48"/>
  <c r="E37"/>
  <c r="C69"/>
  <c r="G32" l="1"/>
  <c r="H32" s="1"/>
  <c r="H28"/>
  <c r="G48"/>
  <c r="H48" s="1"/>
  <c r="H46"/>
  <c r="G68"/>
  <c r="H68" s="1"/>
  <c r="H65"/>
  <c r="C73"/>
  <c r="C70" s="1"/>
  <c r="D71" s="1"/>
  <c r="G37"/>
  <c r="H36"/>
  <c r="G69" l="1"/>
  <c r="H37"/>
  <c r="G73" l="1"/>
  <c r="H71" s="1"/>
  <c r="F71"/>
  <c r="D72"/>
  <c r="F72" s="1"/>
  <c r="H72" l="1"/>
  <c r="G70"/>
</calcChain>
</file>

<file path=xl/sharedStrings.xml><?xml version="1.0" encoding="utf-8"?>
<sst xmlns="http://schemas.openxmlformats.org/spreadsheetml/2006/main" count="131" uniqueCount="64">
  <si>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</si>
  <si>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</si>
  <si>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</si>
  <si>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</si>
  <si>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</si>
  <si>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</si>
  <si>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</si>
  <si>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</si>
  <si>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</si>
  <si>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</si>
  <si>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</si>
  <si>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</si>
  <si>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</si>
  <si>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</si>
  <si>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</si>
  <si>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</si>
  <si>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</si>
  <si>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</si>
  <si>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</si>
  <si>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</si>
  <si>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</si>
  <si>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</si>
  <si>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</si>
  <si>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</si>
  <si>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</si>
  <si>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</si>
  <si>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</si>
  <si>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</si>
  <si>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</si>
  <si>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</si>
  <si>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</si>
  <si>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</si>
  <si>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</si>
  <si>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</si>
  <si>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</si>
  <si>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</si>
  <si>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</si>
  <si>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</si>
  <si>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</si>
  <si>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</si>
  <si>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</si>
  <si>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</si>
  <si>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</si>
  <si>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</si>
  <si>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</si>
  <si>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</si>
  <si>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</si>
  <si>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</si>
  <si>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</si>
  <si>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</si>
  <si>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</si>
  <si>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</si>
  <si>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</si>
  <si>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ООО "ИЭК Сервис"</t>
  </si>
  <si>
    <t>Финансовый результат деятельности (+прибыль, -убыток)</t>
  </si>
  <si>
    <t>Плановая годовая стоимость на 2018г. рассчитана с учетом ТО раз в три года по тарифам обслуживающей организации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</si>
  <si>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</si>
  <si>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</si>
  <si>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ремонт мягкой кровли</t>
  </si>
  <si>
    <t>Адрес многоквартирного дома: ГП Лопухинка ул.Первомайская ,9</t>
  </si>
  <si>
    <t>замена стекл разбитых()</t>
  </si>
  <si>
    <t>0,2кв.м</t>
  </si>
  <si>
    <t>окос травы</t>
  </si>
  <si>
    <t>Рост затрат обусловлен ростом стоимости услуг ООО "Эко-Точка" с 01.01.2018г. Более 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</si>
</sst>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1" xfId="0" applyNumberFormat="1" applyBorder="1" applyAlignment="1">
      <alignment horizontal="center"/>
    </xf>
    <xf numFmtId="43" fontId="8" fillId="0" borderId="1" xfId="0" applyNumberFormat="1" applyFont="1" applyFill="1" applyBorder="1" applyAlignment="1" applyProtection="1">
      <alignment horizontal="center" vertical="top"/>
    </xf>
    <xf numFmtId="43" fontId="5" fillId="0" borderId="1" xfId="0" applyNumberFormat="1" applyFont="1" applyFill="1" applyBorder="1" applyAlignment="1" applyProtection="1">
      <alignment horizontal="center" vertical="top"/>
    </xf>
    <xf numFmtId="2" fontId="0" fillId="0" borderId="0" xfId="0" applyNumberFormat="1" applyBorder="1" applyAlignment="1">
      <alignment wrapText="1"/>
    </xf>
    <xf numFmtId="0" fontId="0" fillId="0" borderId="0" xfId="0" applyNumberFormat="1"/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8"/>
  <sheetViews>
    <sheetView tabSelected="1" zoomScaleNormal="100" workbookViewId="0">
      <selection activeCell="A5" sqref="A5:XFD5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53</v>
      </c>
    </row>
    <row r="3" spans="1:9" ht="18.75">
      <c r="B3" s="1" t="s">
        <v>42</v>
      </c>
    </row>
    <row r="4" spans="1:9" ht="6" customHeight="1">
      <c r="B4" s="1"/>
    </row>
    <row r="5" spans="1:9" ht="18.75" hidden="1">
      <c r="B5" s="1"/>
    </row>
    <row r="7" spans="1:9">
      <c r="A7" s="2" t="s">
        <v>59</v>
      </c>
      <c r="B7" s="3"/>
      <c r="C7" s="3"/>
      <c r="D7" s="3"/>
    </row>
    <row r="8" spans="1:9" ht="9.75" customHeight="1">
      <c r="A8" s="2"/>
      <c r="B8" s="3"/>
      <c r="C8" s="3"/>
      <c r="D8" s="3"/>
    </row>
    <row r="9" spans="1:9">
      <c r="A9" s="2"/>
      <c r="B9" s="4" t="s">
        <v>0</v>
      </c>
      <c r="C9" s="5">
        <f>C10+C11</f>
        <v>3695</v>
      </c>
      <c r="D9" s="3"/>
    </row>
    <row r="10" spans="1:9">
      <c r="A10" s="2"/>
      <c r="B10" s="4" t="s">
        <v>1</v>
      </c>
      <c r="C10" s="5">
        <v>3695</v>
      </c>
      <c r="D10" s="3"/>
    </row>
    <row r="11" spans="1:9">
      <c r="A11" s="2"/>
      <c r="B11" s="4" t="s">
        <v>2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5.25" customHeight="1">
      <c r="A13" s="40" t="s">
        <v>43</v>
      </c>
      <c r="B13" s="41"/>
      <c r="C13" s="41"/>
      <c r="D13" s="42"/>
      <c r="E13" s="9"/>
      <c r="F13" s="9"/>
      <c r="G13" s="9"/>
      <c r="H13" s="9"/>
      <c r="I13" s="9"/>
    </row>
    <row r="14" spans="1:9">
      <c r="A14" s="10">
        <v>1</v>
      </c>
      <c r="B14" s="11" t="s">
        <v>44</v>
      </c>
      <c r="C14" s="10" t="s">
        <v>3</v>
      </c>
      <c r="D14" s="12">
        <v>0</v>
      </c>
      <c r="E14" s="9"/>
      <c r="F14" s="9"/>
      <c r="G14" s="9"/>
      <c r="H14" s="9"/>
      <c r="I14" s="9"/>
    </row>
    <row r="15" spans="1:9" ht="30">
      <c r="A15" s="10">
        <v>2</v>
      </c>
      <c r="B15" s="11" t="s">
        <v>45</v>
      </c>
      <c r="C15" s="10" t="s">
        <v>3</v>
      </c>
      <c r="D15" s="34">
        <f>D16+D17+D18</f>
        <v>500963.94</v>
      </c>
      <c r="E15" s="13"/>
      <c r="F15" s="9"/>
      <c r="G15" s="9"/>
      <c r="H15" s="9"/>
      <c r="I15" s="9"/>
    </row>
    <row r="16" spans="1:9" s="17" customFormat="1">
      <c r="A16" s="14"/>
      <c r="B16" s="15" t="s">
        <v>4</v>
      </c>
      <c r="C16" s="14"/>
      <c r="D16" s="35">
        <v>500963.94</v>
      </c>
      <c r="E16" s="13"/>
      <c r="F16" s="16"/>
      <c r="G16" s="16"/>
      <c r="H16" s="16"/>
      <c r="I16" s="16"/>
    </row>
    <row r="17" spans="1:9" s="17" customFormat="1">
      <c r="A17" s="14"/>
      <c r="B17" s="15"/>
      <c r="C17" s="14"/>
      <c r="D17" s="35"/>
      <c r="E17" s="13"/>
      <c r="F17" s="16"/>
      <c r="G17" s="16"/>
      <c r="H17" s="16"/>
      <c r="I17" s="16"/>
    </row>
    <row r="18" spans="1:9" s="17" customFormat="1">
      <c r="A18" s="14"/>
      <c r="B18" s="15"/>
      <c r="C18" s="14"/>
      <c r="D18" s="35"/>
      <c r="E18" s="13"/>
      <c r="F18" s="16"/>
      <c r="G18" s="16"/>
      <c r="H18" s="16"/>
      <c r="I18" s="16"/>
    </row>
    <row r="19" spans="1:9">
      <c r="A19" s="10">
        <v>3</v>
      </c>
      <c r="B19" s="11" t="s">
        <v>46</v>
      </c>
      <c r="C19" s="10" t="s">
        <v>3</v>
      </c>
      <c r="D19" s="36">
        <v>367758.57</v>
      </c>
      <c r="E19" s="9"/>
      <c r="F19" s="9"/>
      <c r="G19" s="9"/>
      <c r="H19" s="9"/>
      <c r="I19" s="9"/>
    </row>
    <row r="20" spans="1:9">
      <c r="A20" s="10">
        <v>4</v>
      </c>
      <c r="B20" s="11" t="s">
        <v>47</v>
      </c>
      <c r="C20" s="10" t="s">
        <v>3</v>
      </c>
      <c r="D20" s="36">
        <f>D14+D15-D19</f>
        <v>133205.37</v>
      </c>
      <c r="E20" s="9"/>
      <c r="F20" s="9"/>
      <c r="G20" s="9"/>
      <c r="H20" s="9"/>
      <c r="I20" s="9"/>
    </row>
    <row r="21" spans="1:9">
      <c r="A21" s="18"/>
      <c r="B21" s="19"/>
      <c r="C21" s="18"/>
      <c r="D21" s="20"/>
      <c r="E21" s="9"/>
      <c r="F21" s="9"/>
      <c r="G21" s="9"/>
      <c r="H21" s="9"/>
      <c r="I21" s="9"/>
    </row>
    <row r="22" spans="1:9" s="22" customFormat="1">
      <c r="A22" s="9"/>
      <c r="B22" s="21" t="s">
        <v>5</v>
      </c>
      <c r="C22" s="9"/>
      <c r="D22" s="9"/>
      <c r="E22" s="9"/>
      <c r="F22" s="9"/>
      <c r="G22" s="9"/>
      <c r="H22" s="9"/>
      <c r="I22" s="9"/>
    </row>
    <row r="23" spans="1:9" ht="45">
      <c r="A23" s="10">
        <v>5</v>
      </c>
      <c r="B23" s="11" t="s">
        <v>48</v>
      </c>
      <c r="C23" s="10" t="s">
        <v>3</v>
      </c>
      <c r="D23" s="12">
        <v>2778557.15</v>
      </c>
      <c r="E23" s="9"/>
      <c r="F23" s="9"/>
      <c r="G23" s="9"/>
      <c r="H23" s="9"/>
      <c r="I23" s="9"/>
    </row>
    <row r="24" spans="1:9" s="22" customFormat="1">
      <c r="A24" s="9"/>
      <c r="B24" s="21"/>
      <c r="C24" s="9"/>
      <c r="D24" s="9"/>
      <c r="E24" s="9"/>
      <c r="F24" s="9"/>
      <c r="G24" s="9"/>
      <c r="H24" s="9"/>
      <c r="I24" s="9"/>
    </row>
    <row r="25" spans="1:9" s="2" customFormat="1" ht="25.5" customHeight="1">
      <c r="A25" s="43" t="s">
        <v>6</v>
      </c>
      <c r="B25" s="44"/>
      <c r="C25" s="44"/>
      <c r="D25" s="44"/>
      <c r="E25" s="44"/>
      <c r="F25" s="44"/>
      <c r="G25" s="44"/>
      <c r="H25" s="44"/>
      <c r="I25" s="45"/>
    </row>
    <row r="26" spans="1:9" ht="36.75" customHeight="1">
      <c r="A26" s="46" t="s">
        <v>7</v>
      </c>
      <c r="B26" s="46" t="s">
        <v>8</v>
      </c>
      <c r="C26" s="48" t="s">
        <v>11</v>
      </c>
      <c r="D26" s="49"/>
      <c r="E26" s="48" t="s">
        <v>49</v>
      </c>
      <c r="F26" s="49"/>
      <c r="G26" s="48" t="s">
        <v>50</v>
      </c>
      <c r="H26" s="49"/>
      <c r="I26" s="23" t="s">
        <v>12</v>
      </c>
    </row>
    <row r="27" spans="1:9" ht="34.5">
      <c r="A27" s="47"/>
      <c r="B27" s="47"/>
      <c r="C27" s="24" t="s">
        <v>13</v>
      </c>
      <c r="D27" s="24" t="s">
        <v>14</v>
      </c>
      <c r="E27" s="24" t="s">
        <v>13</v>
      </c>
      <c r="F27" s="24" t="s">
        <v>14</v>
      </c>
      <c r="G27" s="24" t="s">
        <v>13</v>
      </c>
      <c r="H27" s="24" t="s">
        <v>14</v>
      </c>
      <c r="I27" s="25"/>
    </row>
    <row r="28" spans="1:9" ht="45">
      <c r="A28" s="26">
        <v>1</v>
      </c>
      <c r="B28" s="25" t="s">
        <v>15</v>
      </c>
      <c r="C28" s="27"/>
      <c r="D28" s="27"/>
      <c r="E28" s="37">
        <f>66528.89</f>
        <v>66528.89</v>
      </c>
      <c r="F28" s="28">
        <f>E28/$C$9/6</f>
        <v>3.0008520523229589</v>
      </c>
      <c r="G28" s="27">
        <v>140000</v>
      </c>
      <c r="H28" s="28">
        <f>G28/$C$9/12</f>
        <v>3.1574199368516012</v>
      </c>
      <c r="I28" s="24" t="s">
        <v>52</v>
      </c>
    </row>
    <row r="29" spans="1:9" ht="30">
      <c r="A29" s="26">
        <v>2</v>
      </c>
      <c r="B29" s="25" t="s">
        <v>16</v>
      </c>
      <c r="C29" s="27"/>
      <c r="D29" s="27"/>
      <c r="E29" s="27">
        <f>1921.81</f>
        <v>1921.81</v>
      </c>
      <c r="F29" s="28">
        <f>E29/$C$9/6</f>
        <v>8.668516012629679E-2</v>
      </c>
      <c r="G29" s="27">
        <f>5000</f>
        <v>5000</v>
      </c>
      <c r="H29" s="28">
        <f>G29/$C$9/12</f>
        <v>0.11276499774470004</v>
      </c>
      <c r="I29" s="25"/>
    </row>
    <row r="30" spans="1:9">
      <c r="A30" s="26">
        <v>3</v>
      </c>
      <c r="B30" s="25" t="s">
        <v>17</v>
      </c>
      <c r="C30" s="27"/>
      <c r="D30" s="27"/>
      <c r="E30" s="27">
        <f>1231.69</f>
        <v>1231.69</v>
      </c>
      <c r="F30" s="28">
        <f>E30/$C$9/6</f>
        <v>5.5556608028867839E-2</v>
      </c>
      <c r="G30" s="27">
        <f>5000</f>
        <v>5000</v>
      </c>
      <c r="H30" s="28">
        <f>G30/$C$9/12</f>
        <v>0.11276499774470004</v>
      </c>
      <c r="I30" s="25"/>
    </row>
    <row r="31" spans="1:9">
      <c r="A31" s="26">
        <v>4</v>
      </c>
      <c r="B31" s="25" t="s">
        <v>62</v>
      </c>
      <c r="C31" s="27"/>
      <c r="D31" s="27"/>
      <c r="E31" s="27">
        <f>4168.83</f>
        <v>4168.83</v>
      </c>
      <c r="F31" s="28">
        <f>E31/$C$9/6</f>
        <v>0.18803924221921517</v>
      </c>
      <c r="G31" s="27">
        <v>5000</v>
      </c>
      <c r="H31" s="28">
        <f>G31/$C$9/12</f>
        <v>0.11276499774470004</v>
      </c>
      <c r="I31" s="25"/>
    </row>
    <row r="32" spans="1:9" s="2" customFormat="1" ht="30">
      <c r="A32" s="29"/>
      <c r="B32" s="29" t="s">
        <v>18</v>
      </c>
      <c r="C32" s="30">
        <f>D32*$C$9*8</f>
        <v>123560.79999999999</v>
      </c>
      <c r="D32" s="30">
        <v>4.18</v>
      </c>
      <c r="E32" s="30">
        <f>SUM(E28:E31)</f>
        <v>73851.22</v>
      </c>
      <c r="F32" s="30">
        <f>SUM(F28:F31)</f>
        <v>3.3311330626973388</v>
      </c>
      <c r="G32" s="30">
        <f>SUM(G28:G31)</f>
        <v>155000</v>
      </c>
      <c r="H32" s="30">
        <f>G32/$C$9/12</f>
        <v>3.4957149300857018</v>
      </c>
      <c r="I32" s="29"/>
    </row>
    <row r="33" spans="1:9" s="2" customFormat="1" ht="25.5" customHeight="1">
      <c r="A33" s="50" t="s">
        <v>19</v>
      </c>
      <c r="B33" s="51"/>
      <c r="C33" s="51"/>
      <c r="D33" s="51"/>
      <c r="E33" s="51"/>
      <c r="F33" s="51"/>
      <c r="G33" s="51"/>
      <c r="H33" s="51"/>
      <c r="I33" s="52"/>
    </row>
    <row r="34" spans="1:9" ht="36.75" customHeight="1">
      <c r="A34" s="46" t="s">
        <v>7</v>
      </c>
      <c r="B34" s="46" t="s">
        <v>8</v>
      </c>
      <c r="C34" s="48" t="s">
        <v>11</v>
      </c>
      <c r="D34" s="49"/>
      <c r="E34" s="48" t="s">
        <v>49</v>
      </c>
      <c r="F34" s="49"/>
      <c r="G34" s="48" t="s">
        <v>50</v>
      </c>
      <c r="H34" s="49"/>
      <c r="I34" s="23" t="s">
        <v>12</v>
      </c>
    </row>
    <row r="35" spans="1:9" ht="34.5">
      <c r="A35" s="47"/>
      <c r="B35" s="47"/>
      <c r="C35" s="24" t="s">
        <v>13</v>
      </c>
      <c r="D35" s="24" t="s">
        <v>14</v>
      </c>
      <c r="E35" s="24" t="s">
        <v>13</v>
      </c>
      <c r="F35" s="24" t="s">
        <v>14</v>
      </c>
      <c r="G35" s="24" t="s">
        <v>13</v>
      </c>
      <c r="H35" s="24" t="s">
        <v>14</v>
      </c>
      <c r="I35" s="25"/>
    </row>
    <row r="36" spans="1:9" ht="45.75">
      <c r="A36" s="26">
        <v>1</v>
      </c>
      <c r="B36" s="25" t="s">
        <v>20</v>
      </c>
      <c r="C36" s="27"/>
      <c r="D36" s="27"/>
      <c r="E36" s="27">
        <v>55985.33</v>
      </c>
      <c r="F36" s="28">
        <f>E36/$C$9/6</f>
        <v>2.5252742444745153</v>
      </c>
      <c r="G36" s="27">
        <f>4.45*12*3695</f>
        <v>197313.00000000003</v>
      </c>
      <c r="H36" s="28">
        <f>G36/$C$9/12</f>
        <v>4.45</v>
      </c>
      <c r="I36" s="24" t="s">
        <v>63</v>
      </c>
    </row>
    <row r="37" spans="1:9" s="2" customFormat="1" ht="30">
      <c r="A37" s="29"/>
      <c r="B37" s="29" t="s">
        <v>21</v>
      </c>
      <c r="C37" s="30">
        <f>D37*$C$9*8</f>
        <v>60893.599999999999</v>
      </c>
      <c r="D37" s="30">
        <v>2.06</v>
      </c>
      <c r="E37" s="30">
        <f>SUM(E36:E36)</f>
        <v>55985.33</v>
      </c>
      <c r="F37" s="30">
        <f>SUM(F36:F36)</f>
        <v>2.5252742444745153</v>
      </c>
      <c r="G37" s="30">
        <f>SUM(G36:G36)</f>
        <v>197313.00000000003</v>
      </c>
      <c r="H37" s="30">
        <f>G37/$C$9/12</f>
        <v>4.45</v>
      </c>
      <c r="I37" s="29"/>
    </row>
    <row r="38" spans="1:9" s="2" customFormat="1" ht="25.5" customHeight="1">
      <c r="A38" s="50" t="s">
        <v>22</v>
      </c>
      <c r="B38" s="51"/>
      <c r="C38" s="51"/>
      <c r="D38" s="51"/>
      <c r="E38" s="51"/>
      <c r="F38" s="51"/>
      <c r="G38" s="51"/>
      <c r="H38" s="51"/>
      <c r="I38" s="52"/>
    </row>
    <row r="39" spans="1:9" ht="36.75" customHeight="1">
      <c r="A39" s="46" t="s">
        <v>7</v>
      </c>
      <c r="B39" s="46" t="s">
        <v>8</v>
      </c>
      <c r="C39" s="48" t="s">
        <v>11</v>
      </c>
      <c r="D39" s="49"/>
      <c r="E39" s="48" t="s">
        <v>49</v>
      </c>
      <c r="F39" s="49"/>
      <c r="G39" s="48" t="s">
        <v>50</v>
      </c>
      <c r="H39" s="49"/>
      <c r="I39" s="23" t="s">
        <v>12</v>
      </c>
    </row>
    <row r="40" spans="1:9" ht="34.5">
      <c r="A40" s="47"/>
      <c r="B40" s="47"/>
      <c r="C40" s="24" t="s">
        <v>13</v>
      </c>
      <c r="D40" s="24" t="s">
        <v>14</v>
      </c>
      <c r="E40" s="24" t="s">
        <v>13</v>
      </c>
      <c r="F40" s="24" t="s">
        <v>14</v>
      </c>
      <c r="G40" s="24" t="s">
        <v>13</v>
      </c>
      <c r="H40" s="24" t="s">
        <v>14</v>
      </c>
      <c r="I40" s="25"/>
    </row>
    <row r="41" spans="1:9" ht="45.75">
      <c r="A41" s="26">
        <v>1</v>
      </c>
      <c r="B41" s="25" t="s">
        <v>23</v>
      </c>
      <c r="C41" s="27"/>
      <c r="D41" s="27"/>
      <c r="E41" s="27">
        <f>1373.38</f>
        <v>1373.38</v>
      </c>
      <c r="F41" s="28">
        <f>E41/$C$9/6</f>
        <v>6.1947677041046458E-2</v>
      </c>
      <c r="G41" s="27">
        <v>10000</v>
      </c>
      <c r="H41" s="28">
        <f>G41/$C$9/12</f>
        <v>0.22552999548940009</v>
      </c>
      <c r="I41" s="24" t="s">
        <v>55</v>
      </c>
    </row>
    <row r="42" spans="1:9" s="2" customFormat="1" ht="30">
      <c r="A42" s="29"/>
      <c r="B42" s="29" t="s">
        <v>24</v>
      </c>
      <c r="C42" s="30">
        <f>D42*$C$9*8</f>
        <v>20396.399999999998</v>
      </c>
      <c r="D42" s="30">
        <v>0.69</v>
      </c>
      <c r="E42" s="30">
        <f>SUM(E41:E41)</f>
        <v>1373.38</v>
      </c>
      <c r="F42" s="30">
        <f>SUM(F41:F41)</f>
        <v>6.1947677041046458E-2</v>
      </c>
      <c r="G42" s="30">
        <f>SUM(G41:G41)</f>
        <v>10000</v>
      </c>
      <c r="H42" s="30">
        <f>G42/$C$9/12</f>
        <v>0.22552999548940009</v>
      </c>
      <c r="I42" s="29"/>
    </row>
    <row r="43" spans="1:9" s="2" customFormat="1" ht="25.5" customHeight="1">
      <c r="A43" s="50" t="s">
        <v>25</v>
      </c>
      <c r="B43" s="51"/>
      <c r="C43" s="51"/>
      <c r="D43" s="51"/>
      <c r="E43" s="51"/>
      <c r="F43" s="51"/>
      <c r="G43" s="51"/>
      <c r="H43" s="51"/>
      <c r="I43" s="52"/>
    </row>
    <row r="44" spans="1:9" ht="36.75" customHeight="1">
      <c r="A44" s="46" t="s">
        <v>7</v>
      </c>
      <c r="B44" s="46" t="s">
        <v>8</v>
      </c>
      <c r="C44" s="48" t="s">
        <v>9</v>
      </c>
      <c r="D44" s="49"/>
      <c r="E44" s="48" t="s">
        <v>10</v>
      </c>
      <c r="F44" s="49"/>
      <c r="G44" s="48" t="s">
        <v>11</v>
      </c>
      <c r="H44" s="49"/>
      <c r="I44" s="23" t="s">
        <v>12</v>
      </c>
    </row>
    <row r="45" spans="1:9" ht="34.5">
      <c r="A45" s="47"/>
      <c r="B45" s="47"/>
      <c r="C45" s="24" t="s">
        <v>13</v>
      </c>
      <c r="D45" s="24" t="s">
        <v>14</v>
      </c>
      <c r="E45" s="24" t="s">
        <v>13</v>
      </c>
      <c r="F45" s="24" t="s">
        <v>14</v>
      </c>
      <c r="G45" s="24" t="s">
        <v>13</v>
      </c>
      <c r="H45" s="24" t="s">
        <v>14</v>
      </c>
      <c r="I45" s="25"/>
    </row>
    <row r="46" spans="1:9" ht="30">
      <c r="A46" s="26">
        <v>1</v>
      </c>
      <c r="B46" s="25" t="s">
        <v>26</v>
      </c>
      <c r="C46" s="27"/>
      <c r="D46" s="27"/>
      <c r="E46" s="27">
        <f>35250.46</f>
        <v>35250.46</v>
      </c>
      <c r="F46" s="28">
        <f>E46/$C$9/6</f>
        <v>1.5900072169598556</v>
      </c>
      <c r="G46" s="27">
        <v>70000</v>
      </c>
      <c r="H46" s="28">
        <f>G46/$C$9/12</f>
        <v>1.5787099684258006</v>
      </c>
      <c r="I46" s="24"/>
    </row>
    <row r="47" spans="1:9">
      <c r="A47" s="26">
        <v>2</v>
      </c>
      <c r="B47" s="25" t="s">
        <v>27</v>
      </c>
      <c r="C47" s="27"/>
      <c r="D47" s="27"/>
      <c r="E47" s="27">
        <f>48203</f>
        <v>48203</v>
      </c>
      <c r="F47" s="28">
        <f>E47/$C$9/6</f>
        <v>2.1742444745151106</v>
      </c>
      <c r="G47" s="27">
        <f>50000</f>
        <v>50000</v>
      </c>
      <c r="H47" s="28">
        <f>G47/$C$9/12</f>
        <v>1.1276499774470004</v>
      </c>
      <c r="I47" s="25"/>
    </row>
    <row r="48" spans="1:9" s="2" customFormat="1" ht="60">
      <c r="A48" s="29"/>
      <c r="B48" s="29" t="s">
        <v>28</v>
      </c>
      <c r="C48" s="30">
        <f>D48*$C$9*8</f>
        <v>84541.599999999991</v>
      </c>
      <c r="D48" s="30">
        <v>2.86</v>
      </c>
      <c r="E48" s="30">
        <f>SUM(E46:E47)</f>
        <v>83453.459999999992</v>
      </c>
      <c r="F48" s="30">
        <f>SUM(F46:F47)</f>
        <v>3.764251691474966</v>
      </c>
      <c r="G48" s="30">
        <f>SUM(G46:G47)</f>
        <v>120000</v>
      </c>
      <c r="H48" s="30">
        <f>G48/$C$9/12</f>
        <v>2.7063599458728014</v>
      </c>
      <c r="I48" s="29"/>
    </row>
    <row r="49" spans="1:9" s="2" customFormat="1" ht="25.5" customHeight="1">
      <c r="A49" s="50" t="s">
        <v>29</v>
      </c>
      <c r="B49" s="51"/>
      <c r="C49" s="51"/>
      <c r="D49" s="51"/>
      <c r="E49" s="51"/>
      <c r="F49" s="51"/>
      <c r="G49" s="51"/>
      <c r="H49" s="51"/>
      <c r="I49" s="52"/>
    </row>
    <row r="50" spans="1:9" ht="36.75" customHeight="1">
      <c r="A50" s="46" t="s">
        <v>7</v>
      </c>
      <c r="B50" s="46" t="s">
        <v>8</v>
      </c>
      <c r="C50" s="48" t="s">
        <v>11</v>
      </c>
      <c r="D50" s="49"/>
      <c r="E50" s="48" t="s">
        <v>49</v>
      </c>
      <c r="F50" s="49"/>
      <c r="G50" s="48" t="s">
        <v>50</v>
      </c>
      <c r="H50" s="49"/>
      <c r="I50" s="23" t="s">
        <v>12</v>
      </c>
    </row>
    <row r="51" spans="1:9" ht="34.5">
      <c r="A51" s="47"/>
      <c r="B51" s="47"/>
      <c r="C51" s="24" t="s">
        <v>13</v>
      </c>
      <c r="D51" s="24" t="s">
        <v>14</v>
      </c>
      <c r="E51" s="24" t="s">
        <v>13</v>
      </c>
      <c r="F51" s="24" t="s">
        <v>14</v>
      </c>
      <c r="G51" s="24" t="s">
        <v>13</v>
      </c>
      <c r="H51" s="24" t="s">
        <v>14</v>
      </c>
      <c r="I51" s="25"/>
    </row>
    <row r="52" spans="1:9" ht="45">
      <c r="A52" s="26">
        <v>1</v>
      </c>
      <c r="B52" s="25" t="s">
        <v>57</v>
      </c>
      <c r="C52" s="27"/>
      <c r="D52" s="27"/>
      <c r="E52" s="27">
        <f>18955.98</f>
        <v>18955.98</v>
      </c>
      <c r="F52" s="28">
        <f>E52/$C$9/6</f>
        <v>0.85502841677943164</v>
      </c>
      <c r="G52" s="27">
        <v>40000</v>
      </c>
      <c r="H52" s="28">
        <f>G52/$C$9/12</f>
        <v>0.90211998195760035</v>
      </c>
      <c r="I52" s="24"/>
    </row>
    <row r="53" spans="1:9">
      <c r="A53" s="26">
        <v>2</v>
      </c>
      <c r="B53" s="25" t="s">
        <v>27</v>
      </c>
      <c r="C53" s="27"/>
      <c r="D53" s="27"/>
      <c r="E53" s="27">
        <f>13659</f>
        <v>13659</v>
      </c>
      <c r="F53" s="28">
        <f>E53/$C$9/6</f>
        <v>0.61610284167794316</v>
      </c>
      <c r="G53" s="27">
        <f>48300</f>
        <v>48300</v>
      </c>
      <c r="H53" s="28">
        <f>G53/$C$9/12</f>
        <v>1.0893098782138024</v>
      </c>
      <c r="I53" s="25"/>
    </row>
    <row r="54" spans="1:9" ht="30">
      <c r="A54" s="26">
        <v>3</v>
      </c>
      <c r="B54" s="25" t="s">
        <v>30</v>
      </c>
      <c r="C54" s="27"/>
      <c r="D54" s="27"/>
      <c r="E54" s="27">
        <f>E56+E58+E59+E60</f>
        <v>849.85</v>
      </c>
      <c r="F54" s="28">
        <f>E54/$C$9/6</f>
        <v>3.8333333333333337E-2</v>
      </c>
      <c r="G54" s="27">
        <f>G56+G58+G59+G60</f>
        <v>99900</v>
      </c>
      <c r="H54" s="28">
        <f>G54/$C$9/12</f>
        <v>2.253044654939107</v>
      </c>
      <c r="I54" s="25"/>
    </row>
    <row r="55" spans="1:9">
      <c r="A55" s="26"/>
      <c r="B55" s="25" t="s">
        <v>31</v>
      </c>
      <c r="C55" s="27"/>
      <c r="D55" s="27"/>
      <c r="E55" s="27"/>
      <c r="F55" s="28"/>
      <c r="G55" s="27"/>
      <c r="H55" s="28"/>
      <c r="I55" s="25"/>
    </row>
    <row r="56" spans="1:9" s="17" customFormat="1">
      <c r="A56" s="31"/>
      <c r="B56" s="31" t="s">
        <v>32</v>
      </c>
      <c r="C56" s="32"/>
      <c r="D56" s="32"/>
      <c r="E56" s="32">
        <f>849.85</f>
        <v>849.85</v>
      </c>
      <c r="F56" s="28">
        <f>E56/$C$9/6</f>
        <v>3.8333333333333337E-2</v>
      </c>
      <c r="G56" s="32">
        <v>3000</v>
      </c>
      <c r="H56" s="28">
        <f t="shared" ref="H56:H59" si="0">G56/$C$9/12</f>
        <v>6.7658998646820026E-2</v>
      </c>
      <c r="I56" s="31"/>
    </row>
    <row r="57" spans="1:9" s="17" customFormat="1">
      <c r="A57" s="31"/>
      <c r="B57" s="31"/>
      <c r="C57" s="32"/>
      <c r="D57" s="32"/>
      <c r="E57" s="32"/>
      <c r="F57" s="28"/>
      <c r="G57" s="32"/>
      <c r="H57" s="28"/>
      <c r="I57" s="31"/>
    </row>
    <row r="58" spans="1:9" s="17" customFormat="1" ht="30">
      <c r="A58" s="31"/>
      <c r="B58" s="31" t="s">
        <v>56</v>
      </c>
      <c r="C58" s="32"/>
      <c r="D58" s="32"/>
      <c r="E58" s="32"/>
      <c r="F58" s="28">
        <f>E58/$C$9/6</f>
        <v>0</v>
      </c>
      <c r="G58" s="32"/>
      <c r="H58" s="28">
        <f t="shared" si="0"/>
        <v>0</v>
      </c>
      <c r="I58" s="31"/>
    </row>
    <row r="59" spans="1:9" s="17" customFormat="1">
      <c r="A59" s="31"/>
      <c r="B59" s="31" t="s">
        <v>58</v>
      </c>
      <c r="C59" s="32"/>
      <c r="D59" s="32"/>
      <c r="E59" s="32"/>
      <c r="F59" s="28">
        <f>E59/$C$9/6</f>
        <v>0</v>
      </c>
      <c r="G59" s="32">
        <v>96900</v>
      </c>
      <c r="H59" s="28">
        <f t="shared" si="0"/>
        <v>2.1853856562922869</v>
      </c>
      <c r="I59" s="31"/>
    </row>
    <row r="60" spans="1:9" s="17" customFormat="1" ht="30">
      <c r="A60" s="31" t="s">
        <v>61</v>
      </c>
      <c r="B60" s="31" t="s">
        <v>60</v>
      </c>
      <c r="C60" s="32"/>
      <c r="D60" s="32"/>
      <c r="E60" s="32"/>
      <c r="F60" s="28"/>
      <c r="G60" s="32"/>
      <c r="H60" s="28"/>
      <c r="I60" s="31"/>
    </row>
    <row r="61" spans="1:9" s="2" customFormat="1" ht="30">
      <c r="A61" s="29"/>
      <c r="B61" s="29" t="s">
        <v>33</v>
      </c>
      <c r="C61" s="30">
        <f>D61*$C$9*8</f>
        <v>80994.400000000009</v>
      </c>
      <c r="D61" s="30">
        <v>2.74</v>
      </c>
      <c r="E61" s="30">
        <f>SUM(E52:E54)</f>
        <v>33464.83</v>
      </c>
      <c r="F61" s="30">
        <f>SUM(F52:F54)</f>
        <v>1.5094645917907081</v>
      </c>
      <c r="G61" s="30">
        <f>SUM(G52:G54)</f>
        <v>188200</v>
      </c>
      <c r="H61" s="30">
        <f>G61/$C$9/12</f>
        <v>4.2444745151105101</v>
      </c>
      <c r="I61" s="29"/>
    </row>
    <row r="62" spans="1:9" s="2" customFormat="1" ht="25.5" customHeight="1">
      <c r="A62" s="50" t="s">
        <v>34</v>
      </c>
      <c r="B62" s="51"/>
      <c r="C62" s="51"/>
      <c r="D62" s="51"/>
      <c r="E62" s="51"/>
      <c r="F62" s="51"/>
      <c r="G62" s="51"/>
      <c r="H62" s="51"/>
      <c r="I62" s="52"/>
    </row>
    <row r="63" spans="1:9" ht="36.75" customHeight="1">
      <c r="A63" s="46" t="s">
        <v>7</v>
      </c>
      <c r="B63" s="46" t="s">
        <v>8</v>
      </c>
      <c r="C63" s="48" t="s">
        <v>11</v>
      </c>
      <c r="D63" s="49"/>
      <c r="E63" s="48" t="s">
        <v>49</v>
      </c>
      <c r="F63" s="49"/>
      <c r="G63" s="48" t="s">
        <v>50</v>
      </c>
      <c r="H63" s="49"/>
      <c r="I63" s="23" t="s">
        <v>12</v>
      </c>
    </row>
    <row r="64" spans="1:9" ht="34.5">
      <c r="A64" s="47"/>
      <c r="B64" s="47"/>
      <c r="C64" s="24" t="s">
        <v>13</v>
      </c>
      <c r="D64" s="24" t="s">
        <v>14</v>
      </c>
      <c r="E64" s="24" t="s">
        <v>13</v>
      </c>
      <c r="F64" s="24" t="s">
        <v>14</v>
      </c>
      <c r="G64" s="24" t="s">
        <v>13</v>
      </c>
      <c r="H64" s="24" t="s">
        <v>14</v>
      </c>
      <c r="I64" s="25"/>
    </row>
    <row r="65" spans="1:9" ht="30">
      <c r="A65" s="26">
        <v>1</v>
      </c>
      <c r="B65" s="25" t="s">
        <v>51</v>
      </c>
      <c r="C65" s="27"/>
      <c r="D65" s="27"/>
      <c r="E65" s="27">
        <v>11639.71</v>
      </c>
      <c r="F65" s="28">
        <f>E65/$C$9/6</f>
        <v>0.52502074875958493</v>
      </c>
      <c r="G65" s="27">
        <v>25900</v>
      </c>
      <c r="H65" s="28">
        <f>G65/$C$9/12</f>
        <v>0.58412268831754621</v>
      </c>
      <c r="I65" s="24"/>
    </row>
    <row r="66" spans="1:9" ht="45">
      <c r="A66" s="26">
        <v>2</v>
      </c>
      <c r="B66" s="25" t="s">
        <v>35</v>
      </c>
      <c r="C66" s="27"/>
      <c r="D66" s="27"/>
      <c r="E66" s="27">
        <f>1025.65</f>
        <v>1025.6500000000001</v>
      </c>
      <c r="F66" s="28">
        <f>E66/$C$9/6</f>
        <v>4.6262967974740644E-2</v>
      </c>
      <c r="G66" s="27">
        <v>10000</v>
      </c>
      <c r="H66" s="28">
        <f>G66/$C$9/12</f>
        <v>0.22552999548940009</v>
      </c>
      <c r="I66" s="25"/>
    </row>
    <row r="67" spans="1:9" ht="30">
      <c r="A67" s="26">
        <v>3</v>
      </c>
      <c r="B67" s="25" t="s">
        <v>36</v>
      </c>
      <c r="C67" s="27"/>
      <c r="D67" s="27"/>
      <c r="E67" s="27">
        <v>9250</v>
      </c>
      <c r="F67" s="28">
        <f>E67/$C$9/6</f>
        <v>0.41723049165539017</v>
      </c>
      <c r="G67" s="27">
        <v>20000</v>
      </c>
      <c r="H67" s="28">
        <f>G67/$C$9/12</f>
        <v>0.45105999097880017</v>
      </c>
      <c r="I67" s="25"/>
    </row>
    <row r="68" spans="1:9" s="2" customFormat="1">
      <c r="A68" s="29"/>
      <c r="B68" s="29" t="s">
        <v>37</v>
      </c>
      <c r="C68" s="30">
        <f>D68*$C$9*8</f>
        <v>107746.2</v>
      </c>
      <c r="D68" s="30">
        <v>3.645</v>
      </c>
      <c r="E68" s="30">
        <f>SUM(E65:E67)</f>
        <v>21915.360000000001</v>
      </c>
      <c r="F68" s="30">
        <f>SUM(F65:F67)</f>
        <v>0.98851420838971571</v>
      </c>
      <c r="G68" s="30">
        <f>SUM(G65:G67)</f>
        <v>55900</v>
      </c>
      <c r="H68" s="30">
        <f>G68/$C$9/12</f>
        <v>1.2607126747857464</v>
      </c>
      <c r="I68" s="29"/>
    </row>
    <row r="69" spans="1:9" s="55" customFormat="1">
      <c r="A69" s="53"/>
      <c r="B69" s="53" t="s">
        <v>38</v>
      </c>
      <c r="C69" s="54">
        <f>C32+C37+C42+C48+C61+C68</f>
        <v>478133</v>
      </c>
      <c r="D69" s="54"/>
      <c r="E69" s="54">
        <f>((E32+E37+E42+E48+E61+E68)*1.05)*1.18</f>
        <v>334583.99561999994</v>
      </c>
      <c r="F69" s="54"/>
      <c r="G69" s="54">
        <f>G32+G37+G42+G48+G61+G68</f>
        <v>726413</v>
      </c>
      <c r="H69" s="54"/>
      <c r="I69" s="53"/>
    </row>
    <row r="70" spans="1:9" ht="30">
      <c r="A70" s="25"/>
      <c r="B70" s="25" t="s">
        <v>39</v>
      </c>
      <c r="C70" s="27">
        <f>C69+C73</f>
        <v>502039.65</v>
      </c>
      <c r="D70" s="27"/>
      <c r="E70" s="27">
        <f>(D16+D17)/1.18</f>
        <v>424545.71186440683</v>
      </c>
      <c r="F70" s="27"/>
      <c r="G70" s="27">
        <f>G69+G73</f>
        <v>762733.65</v>
      </c>
      <c r="H70" s="27"/>
      <c r="I70" s="25"/>
    </row>
    <row r="71" spans="1:9">
      <c r="A71" s="25"/>
      <c r="B71" s="25" t="s">
        <v>40</v>
      </c>
      <c r="C71" s="27"/>
      <c r="D71" s="27">
        <f>C70/C9/8</f>
        <v>16.983750000000001</v>
      </c>
      <c r="E71" s="27"/>
      <c r="F71" s="27">
        <f>D71</f>
        <v>16.983750000000001</v>
      </c>
      <c r="G71" s="27"/>
      <c r="H71" s="27">
        <f>H68+H61+H48+H37+H32+G73/C9/12</f>
        <v>16.976401668921966</v>
      </c>
      <c r="I71" s="25"/>
    </row>
    <row r="72" spans="1:9">
      <c r="A72" s="25"/>
      <c r="B72" s="25" t="s">
        <v>41</v>
      </c>
      <c r="C72" s="27"/>
      <c r="D72" s="27">
        <f>D71*1.18</f>
        <v>20.040824999999998</v>
      </c>
      <c r="E72" s="27"/>
      <c r="F72" s="27">
        <f>D72</f>
        <v>20.040824999999998</v>
      </c>
      <c r="G72" s="27"/>
      <c r="H72" s="27">
        <f>H71*1.18+0.003</f>
        <v>20.035153969327919</v>
      </c>
      <c r="I72" s="25"/>
    </row>
    <row r="73" spans="1:9" ht="30">
      <c r="A73" s="25"/>
      <c r="B73" s="25" t="s">
        <v>54</v>
      </c>
      <c r="C73" s="27">
        <f>C69*0.05</f>
        <v>23906.65</v>
      </c>
      <c r="D73" s="27"/>
      <c r="E73" s="27">
        <f>D19-E69</f>
        <v>33174.574380000064</v>
      </c>
      <c r="F73" s="27"/>
      <c r="G73" s="27">
        <f>G69*0.05</f>
        <v>36320.65</v>
      </c>
      <c r="H73" s="27"/>
      <c r="I73" s="25"/>
    </row>
    <row r="74" spans="1:9">
      <c r="G74" s="33"/>
    </row>
    <row r="75" spans="1:9">
      <c r="E75" s="39"/>
      <c r="G75" s="33"/>
    </row>
    <row r="76" spans="1:9">
      <c r="E76" s="39"/>
    </row>
    <row r="77" spans="1:9">
      <c r="E77" s="39"/>
    </row>
    <row r="78" spans="1:9">
      <c r="E78" s="38"/>
    </row>
  </sheetData>
  <mergeCells count="37">
    <mergeCell ref="A62:I62"/>
    <mergeCell ref="A63:A64"/>
    <mergeCell ref="B63:B64"/>
    <mergeCell ref="C63:D63"/>
    <mergeCell ref="E63:F63"/>
    <mergeCell ref="G63:H63"/>
    <mergeCell ref="A49:I49"/>
    <mergeCell ref="A50:A51"/>
    <mergeCell ref="B50:B51"/>
    <mergeCell ref="C50:D50"/>
    <mergeCell ref="E50:F50"/>
    <mergeCell ref="G50:H50"/>
    <mergeCell ref="A43:I43"/>
    <mergeCell ref="A44:A45"/>
    <mergeCell ref="B44:B45"/>
    <mergeCell ref="C44:D44"/>
    <mergeCell ref="E44:F44"/>
    <mergeCell ref="G44:H44"/>
    <mergeCell ref="A38:I38"/>
    <mergeCell ref="A39:A40"/>
    <mergeCell ref="B39:B40"/>
    <mergeCell ref="C39:D39"/>
    <mergeCell ref="E39:F39"/>
    <mergeCell ref="G39:H39"/>
    <mergeCell ref="A33:I33"/>
    <mergeCell ref="A34:A35"/>
    <mergeCell ref="B34:B35"/>
    <mergeCell ref="C34:D34"/>
    <mergeCell ref="E34:F34"/>
    <mergeCell ref="G34:H34"/>
    <mergeCell ref="A13:D13"/>
    <mergeCell ref="A25:I25"/>
    <mergeCell ref="A26:A27"/>
    <mergeCell ref="B26:B27"/>
    <mergeCell ref="C26:D26"/>
    <mergeCell ref="E26:F26"/>
    <mergeCell ref="G26:H26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2018-04-17T07:29:25Z</dcterms:modified>
</cp:coreProperties>
</file>